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<sst xmlns="http://schemas.openxmlformats.org/spreadsheetml/2006/main" count="159" uniqueCount="113">
  <si>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</si>
  <si>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</si>
  <si>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</si>
  <si>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</si>
  <si>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</si>
  <si>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</si>
  <si>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</si>
  <si>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</si>
  <si>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</si>
  <si>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</si>
  <si>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</si>
  <si>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</si>
  <si>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</si>
  <si>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</si>
  <si>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</si>
  <si>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</si>
  <si>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</si>
  <si>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</si>
  <si>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</si>
  <si>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</si>
  <si>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</si>
  <si>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</si>
  <si>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</si>
  <si>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</si>
  <si>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</si>
  <si>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</si>
  <si>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</si>
  <si>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</si>
  <si>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</si>
  <si>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</si>
  <si>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</si>
  <si>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</si>
  <si>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</si>
  <si>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</si>
  <si>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</si>
  <si>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</si>
  <si>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</si>
  <si>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</si>
  <si>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</si>
  <si>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</si>
  <si>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</si>
  <si>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</si>
  <si>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</si>
  <si>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</si>
  <si>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</si>
  <si>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</si>
  <si>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</si>
  <si>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</si>
  <si>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</si>
  <si>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</si>
  <si>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</si>
  <si>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</si>
  <si>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</si>
  <si>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</si>
  <si>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</si>
  <si>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</si>
  <si>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</si>
  <si>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</si>
  <si>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</si>
  <si>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</si>
  <si>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</si>
  <si>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</si>
  <si>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</si>
  <si>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</si>
  <si>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</si>
  <si>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</si>
  <si>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</si>
  <si>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</si>
  <si>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</si>
  <si>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</si>
  <si>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</si>
  <si>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</si>
  <si>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</si>
  <si>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</si>
  <si>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</si>
  <si>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</si>
  <si>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</si>
  <si>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</si>
  <si>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</si>
  <si>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</si>
  <si>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</si>
  <si>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</si>
  <si>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</si>
  <si>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</si>
  <si>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</si>
  <si>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</si>
  <si>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</si>
  <si>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</si>
  <si>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</si>
  <si>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</si>
  <si>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</si>
  <si>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</si>
  <si>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</si>
  <si>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</si>
  <si>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</si>
  <si>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</si>
  <si>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</si>
  <si>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</si>
  <si>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</si>
  <si>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</si>
  <si>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</si>
  <si>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</si>
  <si>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</si>
  <si>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</si>
  <si>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</si>
  <si>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</si>
  <si>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</si>
  <si>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</si>
  <si>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</si>
  <si>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</si>
  <si>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</si>
  <si>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</si>
  <si>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2014 рік станом на 06.10.2014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</si>
</sst>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32450.000000000004</c:v>
                </c:pt>
                <c:pt idx="1">
                  <c:v>27907.7</c:v>
                </c:pt>
                <c:pt idx="2">
                  <c:v>1168.5</c:v>
                </c:pt>
                <c:pt idx="3">
                  <c:v>3373.800000000003</c:v>
                </c:pt>
              </c:numCache>
            </c:numRef>
          </c:val>
          <c:shape val="box"/>
        </c:ser>
        <c:shape val="box"/>
        <c:axId val="32278634"/>
        <c:axId val="22072251"/>
      </c:bar3DChart>
      <c:catAx>
        <c:axId val="322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072251"/>
        <c:crosses val="autoZero"/>
        <c:auto val="1"/>
        <c:lblOffset val="100"/>
        <c:tickLblSkip val="1"/>
        <c:noMultiLvlLbl val="0"/>
      </c:catAx>
      <c:valAx>
        <c:axId val="22072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86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206712.31000000006</c:v>
                </c:pt>
                <c:pt idx="1">
                  <c:v>172082.39999999994</c:v>
                </c:pt>
                <c:pt idx="2">
                  <c:v>16.8</c:v>
                </c:pt>
                <c:pt idx="3">
                  <c:v>11256.800000000001</c:v>
                </c:pt>
                <c:pt idx="4">
                  <c:v>21917.899999999998</c:v>
                </c:pt>
                <c:pt idx="5">
                  <c:v>186.9</c:v>
                </c:pt>
                <c:pt idx="6">
                  <c:v>1251.5100000001162</c:v>
                </c:pt>
              </c:numCache>
            </c:numRef>
          </c:val>
          <c:shape val="box"/>
        </c:ser>
        <c:shape val="box"/>
        <c:axId val="64432532"/>
        <c:axId val="43021877"/>
      </c:bar3DChart>
      <c:catAx>
        <c:axId val="6443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21877"/>
        <c:crosses val="autoZero"/>
        <c:auto val="1"/>
        <c:lblOffset val="100"/>
        <c:tickLblSkip val="1"/>
        <c:noMultiLvlLbl val="0"/>
      </c:catAx>
      <c:valAx>
        <c:axId val="43021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325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12960.000000000016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144184.70000000004</c:v>
                </c:pt>
                <c:pt idx="1">
                  <c:v>117330.09999999999</c:v>
                </c:pt>
                <c:pt idx="2">
                  <c:v>3480.4999999999995</c:v>
                </c:pt>
                <c:pt idx="3">
                  <c:v>2068</c:v>
                </c:pt>
                <c:pt idx="4">
                  <c:v>11028.299999999997</c:v>
                </c:pt>
                <c:pt idx="5">
                  <c:v>1048</c:v>
                </c:pt>
                <c:pt idx="6">
                  <c:v>9229.800000000052</c:v>
                </c:pt>
              </c:numCache>
            </c:numRef>
          </c:val>
          <c:shape val="box"/>
        </c:ser>
        <c:shape val="box"/>
        <c:axId val="51652574"/>
        <c:axId val="62219983"/>
      </c:bar3DChart>
      <c:catAx>
        <c:axId val="5165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19983"/>
        <c:crosses val="autoZero"/>
        <c:auto val="1"/>
        <c:lblOffset val="100"/>
        <c:tickLblSkip val="1"/>
        <c:noMultiLvlLbl val="0"/>
      </c:catAx>
      <c:valAx>
        <c:axId val="62219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2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1735.2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6787.600000000003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27221.59999999999</c:v>
                </c:pt>
                <c:pt idx="1">
                  <c:v>21119</c:v>
                </c:pt>
                <c:pt idx="2">
                  <c:v>719.0999999999997</c:v>
                </c:pt>
                <c:pt idx="3">
                  <c:v>297.09999999999997</c:v>
                </c:pt>
                <c:pt idx="4">
                  <c:v>18</c:v>
                </c:pt>
                <c:pt idx="5">
                  <c:v>5068.399999999991</c:v>
                </c:pt>
              </c:numCache>
            </c:numRef>
          </c:val>
          <c:shape val="box"/>
        </c:ser>
        <c:shape val="box"/>
        <c:axId val="23108936"/>
        <c:axId val="6653833"/>
      </c:bar3DChart>
      <c:catAx>
        <c:axId val="2310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3833"/>
        <c:crosses val="autoZero"/>
        <c:auto val="1"/>
        <c:lblOffset val="100"/>
        <c:tickLblSkip val="1"/>
        <c:noMultiLvlLbl val="0"/>
      </c:catAx>
      <c:valAx>
        <c:axId val="6653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89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8551.7</c:v>
                </c:pt>
                <c:pt idx="1">
                  <c:v>5646.699999999999</c:v>
                </c:pt>
                <c:pt idx="2">
                  <c:v>0.5</c:v>
                </c:pt>
                <c:pt idx="3">
                  <c:v>116.30000000000001</c:v>
                </c:pt>
                <c:pt idx="4">
                  <c:v>244.2999999999999</c:v>
                </c:pt>
                <c:pt idx="5">
                  <c:v>2543.900000000002</c:v>
                </c:pt>
              </c:numCache>
            </c:numRef>
          </c:val>
          <c:shape val="box"/>
        </c:ser>
        <c:shape val="box"/>
        <c:axId val="59884498"/>
        <c:axId val="2089571"/>
      </c:bar3DChart>
      <c:catAx>
        <c:axId val="59884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9571"/>
        <c:crosses val="autoZero"/>
        <c:auto val="1"/>
        <c:lblOffset val="100"/>
        <c:tickLblSkip val="2"/>
        <c:noMultiLvlLbl val="0"/>
      </c:catAx>
      <c:valAx>
        <c:axId val="2089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44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2559.8</c:v>
                </c:pt>
                <c:pt idx="1">
                  <c:v>1431.4</c:v>
                </c:pt>
                <c:pt idx="2">
                  <c:v>181.4</c:v>
                </c:pt>
                <c:pt idx="3">
                  <c:v>129.10000000000002</c:v>
                </c:pt>
                <c:pt idx="4">
                  <c:v>728.3000000000001</c:v>
                </c:pt>
                <c:pt idx="5">
                  <c:v>89.6</c:v>
                </c:pt>
              </c:numCache>
            </c:numRef>
          </c:val>
          <c:shape val="box"/>
        </c:ser>
        <c:shape val="box"/>
        <c:axId val="18806140"/>
        <c:axId val="35037533"/>
      </c:bar3DChart>
      <c:catAx>
        <c:axId val="1880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37533"/>
        <c:crosses val="autoZero"/>
        <c:auto val="1"/>
        <c:lblOffset val="100"/>
        <c:tickLblSkip val="1"/>
        <c:noMultiLvlLbl val="0"/>
      </c:catAx>
      <c:valAx>
        <c:axId val="35037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61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25337.000000000004</c:v>
                </c:pt>
              </c:numCache>
            </c:numRef>
          </c:val>
          <c:shape val="box"/>
        </c:ser>
        <c:shape val="box"/>
        <c:axId val="46902342"/>
        <c:axId val="19467895"/>
      </c:bar3DChart>
      <c:catAx>
        <c:axId val="4690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467895"/>
        <c:crosses val="autoZero"/>
        <c:auto val="1"/>
        <c:lblOffset val="100"/>
        <c:tickLblSkip val="1"/>
        <c:noMultiLvlLbl val="0"/>
      </c:catAx>
      <c:valAx>
        <c:axId val="19467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023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206712.31000000006</c:v>
                </c:pt>
                <c:pt idx="1">
                  <c:v>144184.70000000004</c:v>
                </c:pt>
                <c:pt idx="2">
                  <c:v>27221.59999999999</c:v>
                </c:pt>
                <c:pt idx="3">
                  <c:v>8551.7</c:v>
                </c:pt>
                <c:pt idx="4">
                  <c:v>2559.8</c:v>
                </c:pt>
                <c:pt idx="5">
                  <c:v>32450.000000000004</c:v>
                </c:pt>
                <c:pt idx="6">
                  <c:v>25337.000000000004</c:v>
                </c:pt>
              </c:numCache>
            </c:numRef>
          </c:val>
          <c:shape val="box"/>
        </c:ser>
        <c:shape val="box"/>
        <c:axId val="40993328"/>
        <c:axId val="33395633"/>
      </c:bar3DChart>
      <c:catAx>
        <c:axId val="40993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95633"/>
        <c:crosses val="autoZero"/>
        <c:auto val="1"/>
        <c:lblOffset val="100"/>
        <c:tickLblSkip val="1"/>
        <c:noMultiLvlLbl val="0"/>
      </c:catAx>
      <c:valAx>
        <c:axId val="33395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933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64582.799999999996</c:v>
                </c:pt>
                <c:pt idx="2">
                  <c:v>20516.600000000002</c:v>
                </c:pt>
                <c:pt idx="3">
                  <c:v>8110.4</c:v>
                </c:pt>
                <c:pt idx="4">
                  <c:v>7943.900000000001</c:v>
                </c:pt>
                <c:pt idx="5">
                  <c:v>92638.50000000009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350097.1</c:v>
                </c:pt>
                <c:pt idx="1">
                  <c:v>35750.6</c:v>
                </c:pt>
                <c:pt idx="2">
                  <c:v>13664.400000000001</c:v>
                </c:pt>
                <c:pt idx="3">
                  <c:v>5906.3</c:v>
                </c:pt>
                <c:pt idx="4">
                  <c:v>3498.7999999999997</c:v>
                </c:pt>
                <c:pt idx="5">
                  <c:v>56971.010000000155</c:v>
                </c:pt>
              </c:numCache>
            </c:numRef>
          </c:val>
          <c:shape val="box"/>
        </c:ser>
        <c:shape val="box"/>
        <c:axId val="32125242"/>
        <c:axId val="20691723"/>
      </c:bar3DChart>
      <c:catAx>
        <c:axId val="3212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91723"/>
        <c:crosses val="autoZero"/>
        <c:auto val="1"/>
        <c:lblOffset val="100"/>
        <c:tickLblSkip val="1"/>
        <c:noMultiLvlLbl val="0"/>
      </c:catAx>
      <c:valAx>
        <c:axId val="20691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252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1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6" sqref="D146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233765.2</v>
      </c>
      <c r="C6" s="53">
        <f>279531.5-5173.3+47.5</f>
        <v>274405.7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</f>
        <v>208533.31000000006</v>
      </c>
      <c r="E6" s="3">
        <f>D6/D137*100</f>
        <v>44.4817910930792</v>
      </c>
      <c r="F6" s="3">
        <f>D6/B6*100</f>
        <v>89.20631043457283</v>
      </c>
      <c r="G6" s="3">
        <f aca="true" t="shared" si="0" ref="G6:G41">D6/C6*100</f>
        <v>75.99452562392109</v>
      </c>
      <c r="H6" s="3">
        <f>B6-D6</f>
        <v>25231.889999999956</v>
      </c>
      <c r="I6" s="3">
        <f aca="true" t="shared" si="1" ref="I6:I41">C6-D6</f>
        <v>65872.38999999996</v>
      </c>
    </row>
    <row r="7" spans="1:9" ht="18">
      <c r="A7" s="29" t="s">
        <v>3</v>
      </c>
      <c r="B7" s="49">
        <v>191676</v>
      </c>
      <c r="C7" s="50">
        <f>220378.6-5173.3+74.8</f>
        <v>215280.1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</f>
        <v>173688.29999999993</v>
      </c>
      <c r="E7" s="1">
        <f>D7/D6*100</f>
        <v>83.29043451139768</v>
      </c>
      <c r="F7" s="1">
        <f>D7/B7*100</f>
        <v>90.61557002441617</v>
      </c>
      <c r="G7" s="1">
        <f t="shared" si="0"/>
        <v>80.68014646964579</v>
      </c>
      <c r="H7" s="1">
        <f>B7-D7</f>
        <v>17987.70000000007</v>
      </c>
      <c r="I7" s="1">
        <f t="shared" si="1"/>
        <v>41591.800000000076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</f>
        <v>17.7</v>
      </c>
      <c r="E8" s="12">
        <f>D8/D6*100</f>
        <v>0.008487852612131844</v>
      </c>
      <c r="F8" s="1">
        <f>D8/B8*100</f>
        <v>39.686098654708516</v>
      </c>
      <c r="G8" s="1">
        <f t="shared" si="0"/>
        <v>39.686098654708516</v>
      </c>
      <c r="H8" s="1">
        <f aca="true" t="shared" si="2" ref="H8:H41">B8-D8</f>
        <v>26.900000000000002</v>
      </c>
      <c r="I8" s="1">
        <f t="shared" si="1"/>
        <v>26.900000000000002</v>
      </c>
    </row>
    <row r="9" spans="1:9" ht="18">
      <c r="A9" s="29" t="s">
        <v>1</v>
      </c>
      <c r="B9" s="49">
        <v>13670.2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</f>
        <v>11451.700000000003</v>
      </c>
      <c r="E9" s="1">
        <f>D9/D6*100</f>
        <v>5.491544732110184</v>
      </c>
      <c r="F9" s="1">
        <f aca="true" t="shared" si="3" ref="F9:F39">D9/B9*100</f>
        <v>83.77126889145734</v>
      </c>
      <c r="G9" s="1">
        <f t="shared" si="0"/>
        <v>66.95451861293171</v>
      </c>
      <c r="H9" s="1">
        <f t="shared" si="2"/>
        <v>2218.499999999998</v>
      </c>
      <c r="I9" s="1">
        <f t="shared" si="1"/>
        <v>5651.999999999998</v>
      </c>
    </row>
    <row r="10" spans="1:9" ht="18">
      <c r="A10" s="29" t="s">
        <v>0</v>
      </c>
      <c r="B10" s="49">
        <v>26051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</f>
        <v>21917.899999999998</v>
      </c>
      <c r="E10" s="1">
        <f>D10/D6*100</f>
        <v>10.510503094205905</v>
      </c>
      <c r="F10" s="1">
        <f t="shared" si="3"/>
        <v>84.13458216575178</v>
      </c>
      <c r="G10" s="1">
        <f t="shared" si="0"/>
        <v>55.56502009101164</v>
      </c>
      <c r="H10" s="1">
        <f t="shared" si="2"/>
        <v>4133.100000000002</v>
      </c>
      <c r="I10" s="1">
        <f t="shared" si="1"/>
        <v>17527.600000000002</v>
      </c>
    </row>
    <row r="11" spans="1:9" ht="18">
      <c r="A11" s="29" t="s">
        <v>15</v>
      </c>
      <c r="B11" s="49">
        <v>231.1</v>
      </c>
      <c r="C11" s="50">
        <f>281.8-31.7</f>
        <v>250.10000000000002</v>
      </c>
      <c r="D11" s="51">
        <f>4+4+12.7+4+4+14.5+4+115.8+4+14.4+5.4+0.1</f>
        <v>186.9</v>
      </c>
      <c r="E11" s="1">
        <f>D11/D6*100</f>
        <v>0.08962596910776506</v>
      </c>
      <c r="F11" s="1">
        <f t="shared" si="3"/>
        <v>80.87408048463868</v>
      </c>
      <c r="G11" s="1">
        <f t="shared" si="0"/>
        <v>74.73010795681728</v>
      </c>
      <c r="H11" s="1">
        <f t="shared" si="2"/>
        <v>44.19999999999999</v>
      </c>
      <c r="I11" s="1">
        <f t="shared" si="1"/>
        <v>63.20000000000002</v>
      </c>
    </row>
    <row r="12" spans="1:9" ht="18.75" thickBot="1">
      <c r="A12" s="29" t="s">
        <v>35</v>
      </c>
      <c r="B12" s="50">
        <f>B6-B7-B8-B9-B10-B11</f>
        <v>2092.3000000000125</v>
      </c>
      <c r="C12" s="50">
        <f>C6-C7-C8-C9-C10-C11</f>
        <v>2281.700000000003</v>
      </c>
      <c r="D12" s="50">
        <f>D6-D7-D8-D9-D10-D11</f>
        <v>1270.8100000001264</v>
      </c>
      <c r="E12" s="1">
        <f>D12/D6*100</f>
        <v>0.6094038405663469</v>
      </c>
      <c r="F12" s="1">
        <f t="shared" si="3"/>
        <v>60.73746594657165</v>
      </c>
      <c r="G12" s="1">
        <f t="shared" si="0"/>
        <v>55.695753166504126</v>
      </c>
      <c r="H12" s="1">
        <f t="shared" si="2"/>
        <v>821.4899999998861</v>
      </c>
      <c r="I12" s="1">
        <f t="shared" si="1"/>
        <v>1010.8899999998766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159644.3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</f>
        <v>144372.90000000005</v>
      </c>
      <c r="E17" s="3">
        <f>D17/D137*100</f>
        <v>30.795872262815067</v>
      </c>
      <c r="F17" s="3">
        <f>D17/B17*100</f>
        <v>90.43410882818871</v>
      </c>
      <c r="G17" s="3">
        <f t="shared" si="0"/>
        <v>81.21436008903757</v>
      </c>
      <c r="H17" s="3">
        <f>B17-D17</f>
        <v>15271.399999999936</v>
      </c>
      <c r="I17" s="3">
        <f t="shared" si="1"/>
        <v>33394.79999999996</v>
      </c>
    </row>
    <row r="18" spans="1:9" ht="18">
      <c r="A18" s="29" t="s">
        <v>5</v>
      </c>
      <c r="B18" s="49">
        <v>124367.5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5127.2+6545.1+310.1+0.1+5190.4+6767.1+5380.4+556.1+6698.2+26.3+5454.2+14.7+1807.4+5633.7-0.1+5479.7+8333.7+0.1+5594.2+20.5+8919.7-0.1+6648.6+409.3+7265+6051.8+1663.6+3936.9-0.1+1069.7+155.1+0.3+41.2+5904.4+6325.6</f>
        <v>117330.09999999999</v>
      </c>
      <c r="E18" s="1">
        <f>D18/D17*100</f>
        <v>81.26878382300275</v>
      </c>
      <c r="F18" s="1">
        <f t="shared" si="3"/>
        <v>94.34144772549098</v>
      </c>
      <c r="G18" s="1">
        <f t="shared" si="0"/>
        <v>87.95129063330421</v>
      </c>
      <c r="H18" s="1">
        <f t="shared" si="2"/>
        <v>7037.400000000009</v>
      </c>
      <c r="I18" s="1">
        <f t="shared" si="1"/>
        <v>16073.400000000009</v>
      </c>
    </row>
    <row r="19" spans="1:9" ht="18">
      <c r="A19" s="29" t="s">
        <v>2</v>
      </c>
      <c r="B19" s="49">
        <v>6566.5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</f>
        <v>3607.7999999999993</v>
      </c>
      <c r="E19" s="1">
        <f>D19/D17*100</f>
        <v>2.4989454392063872</v>
      </c>
      <c r="F19" s="1">
        <f t="shared" si="3"/>
        <v>54.94251123124951</v>
      </c>
      <c r="G19" s="1">
        <f t="shared" si="0"/>
        <v>46.143810912439555</v>
      </c>
      <c r="H19" s="1">
        <f t="shared" si="2"/>
        <v>2958.7000000000007</v>
      </c>
      <c r="I19" s="1">
        <f t="shared" si="1"/>
        <v>4210.800000000001</v>
      </c>
    </row>
    <row r="20" spans="1:9" ht="18">
      <c r="A20" s="29" t="s">
        <v>1</v>
      </c>
      <c r="B20" s="49">
        <v>2418.1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</f>
        <v>2102.2</v>
      </c>
      <c r="E20" s="1">
        <f>D20/D17*100</f>
        <v>1.4560904435666244</v>
      </c>
      <c r="F20" s="1">
        <f t="shared" si="3"/>
        <v>86.93602415119308</v>
      </c>
      <c r="G20" s="1">
        <f t="shared" si="0"/>
        <v>74.10984982020729</v>
      </c>
      <c r="H20" s="1">
        <f t="shared" si="2"/>
        <v>315.9000000000001</v>
      </c>
      <c r="I20" s="1">
        <f t="shared" si="1"/>
        <v>734.4000000000001</v>
      </c>
    </row>
    <row r="21" spans="1:9" ht="18">
      <c r="A21" s="29" t="s">
        <v>0</v>
      </c>
      <c r="B21" s="49">
        <v>13420.3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</f>
        <v>11028.299999999997</v>
      </c>
      <c r="E21" s="1">
        <f>D21/D17*100</f>
        <v>7.638760459892399</v>
      </c>
      <c r="F21" s="1">
        <f t="shared" si="3"/>
        <v>82.17625537432097</v>
      </c>
      <c r="G21" s="1">
        <f t="shared" si="0"/>
        <v>56.98319692460316</v>
      </c>
      <c r="H21" s="1">
        <f t="shared" si="2"/>
        <v>2392.000000000002</v>
      </c>
      <c r="I21" s="1">
        <f t="shared" si="1"/>
        <v>8325.300000000001</v>
      </c>
    </row>
    <row r="22" spans="1:9" ht="18">
      <c r="A22" s="29" t="s">
        <v>15</v>
      </c>
      <c r="B22" s="49">
        <v>1201.4</v>
      </c>
      <c r="C22" s="50">
        <f>1388.5-4+10.9</f>
        <v>1395.4</v>
      </c>
      <c r="D22" s="51">
        <f>14.2+80.1+19.7+105+3.5+1.3+30+84.1+0.1+72.2+54.8+15.1+59.3+59.3+8.9+52.2+1.2+36.9+21.6+108.1+114.2+52.3+53.9+3.6</f>
        <v>1051.6</v>
      </c>
      <c r="E22" s="1">
        <f>D22/D17*100</f>
        <v>0.7283915471670926</v>
      </c>
      <c r="F22" s="1">
        <f t="shared" si="3"/>
        <v>87.53121358415181</v>
      </c>
      <c r="G22" s="1">
        <f t="shared" si="0"/>
        <v>75.36190339687543</v>
      </c>
      <c r="H22" s="1">
        <f t="shared" si="2"/>
        <v>149.80000000000018</v>
      </c>
      <c r="I22" s="1">
        <f t="shared" si="1"/>
        <v>343.8000000000002</v>
      </c>
    </row>
    <row r="23" spans="1:9" ht="18.75" thickBot="1">
      <c r="A23" s="29" t="s">
        <v>35</v>
      </c>
      <c r="B23" s="50">
        <f>B17-B18-B19-B20-B21-B22</f>
        <v>11670.49999999999</v>
      </c>
      <c r="C23" s="50">
        <f>C17-C18-C19-C20-C21-C22</f>
        <v>12960.000000000016</v>
      </c>
      <c r="D23" s="50">
        <f>D17-D18-D19-D20-D21-D22</f>
        <v>9252.900000000063</v>
      </c>
      <c r="E23" s="1">
        <f>D23/D17*100</f>
        <v>6.4090282871647375</v>
      </c>
      <c r="F23" s="1">
        <f t="shared" si="3"/>
        <v>79.28452080030908</v>
      </c>
      <c r="G23" s="1">
        <f t="shared" si="0"/>
        <v>71.39583333333374</v>
      </c>
      <c r="H23" s="1">
        <f t="shared" si="2"/>
        <v>2417.5999999999276</v>
      </c>
      <c r="I23" s="1">
        <f t="shared" si="1"/>
        <v>3707.099999999953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32175.3</v>
      </c>
      <c r="C31" s="53">
        <f>38286.9-761.1-47.5</f>
        <v>37478.3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</f>
        <v>27352.299999999992</v>
      </c>
      <c r="E31" s="3">
        <f>D31/D137*100</f>
        <v>5.834460185354702</v>
      </c>
      <c r="F31" s="3">
        <f>D31/B31*100</f>
        <v>85.01024077475576</v>
      </c>
      <c r="G31" s="3">
        <f t="shared" si="0"/>
        <v>72.98169874300594</v>
      </c>
      <c r="H31" s="3">
        <f t="shared" si="2"/>
        <v>4823.000000000007</v>
      </c>
      <c r="I31" s="3">
        <f t="shared" si="1"/>
        <v>10126.000000000011</v>
      </c>
    </row>
    <row r="32" spans="1:9" ht="18">
      <c r="A32" s="29" t="s">
        <v>3</v>
      </c>
      <c r="B32" s="49">
        <v>24397.2</v>
      </c>
      <c r="C32" s="50">
        <f>28976.1-761.1</f>
        <v>28215</v>
      </c>
      <c r="D32" s="51">
        <f>1119.5+1121.1+1039.4+104.2+1079.5+1133.4+1048+1163.9+1081.6+1130.3+1238-0.1+13.4+4.1+3118.3+55.1+2433-70.8+488+299.2+413.9+849.2+1170.6+1086.2</f>
        <v>21119</v>
      </c>
      <c r="E32" s="1">
        <f>D32/D31*100</f>
        <v>77.211057205427</v>
      </c>
      <c r="F32" s="1">
        <f t="shared" si="3"/>
        <v>86.56321217188857</v>
      </c>
      <c r="G32" s="1">
        <f t="shared" si="0"/>
        <v>74.85025695552011</v>
      </c>
      <c r="H32" s="1">
        <f t="shared" si="2"/>
        <v>3278.2000000000007</v>
      </c>
      <c r="I32" s="1">
        <f t="shared" si="1"/>
        <v>7096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1211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</f>
        <v>723.2999999999997</v>
      </c>
      <c r="E34" s="1">
        <f>D34/D31*100</f>
        <v>2.644384567294158</v>
      </c>
      <c r="F34" s="1">
        <f t="shared" si="3"/>
        <v>59.7274979355904</v>
      </c>
      <c r="G34" s="1">
        <f t="shared" si="0"/>
        <v>41.68395573997232</v>
      </c>
      <c r="H34" s="1">
        <f t="shared" si="2"/>
        <v>487.7000000000003</v>
      </c>
      <c r="I34" s="1">
        <f t="shared" si="1"/>
        <v>1011.9000000000003</v>
      </c>
    </row>
    <row r="35" spans="1:9" s="44" customFormat="1" ht="18.75">
      <c r="A35" s="23" t="s">
        <v>7</v>
      </c>
      <c r="B35" s="58">
        <v>576.6</v>
      </c>
      <c r="C35" s="59">
        <v>715.3</v>
      </c>
      <c r="D35" s="60">
        <f>38.5+5.5+3+4.5+22.1+25.5+8.2+45.3+17.5+1+24+2.2+10+60+29.8+5.1</f>
        <v>302.2</v>
      </c>
      <c r="E35" s="19">
        <f>D35/D31*100</f>
        <v>1.1048431027738073</v>
      </c>
      <c r="F35" s="19">
        <f t="shared" si="3"/>
        <v>52.41068331599028</v>
      </c>
      <c r="G35" s="19">
        <f t="shared" si="0"/>
        <v>42.24800782888299</v>
      </c>
      <c r="H35" s="19">
        <f t="shared" si="2"/>
        <v>274.40000000000003</v>
      </c>
      <c r="I35" s="19">
        <f t="shared" si="1"/>
        <v>413.09999999999997</v>
      </c>
    </row>
    <row r="36" spans="1:9" ht="18">
      <c r="A36" s="29" t="s">
        <v>15</v>
      </c>
      <c r="B36" s="49">
        <v>20.4</v>
      </c>
      <c r="C36" s="50">
        <f>45.2-20</f>
        <v>25.200000000000003</v>
      </c>
      <c r="D36" s="50">
        <f>3.6+3.6+7.2+3.6</f>
        <v>18</v>
      </c>
      <c r="E36" s="1">
        <f>D36/D31*100</f>
        <v>0.06580799420889653</v>
      </c>
      <c r="F36" s="1">
        <f t="shared" si="3"/>
        <v>88.23529411764707</v>
      </c>
      <c r="G36" s="1">
        <f t="shared" si="0"/>
        <v>71.42857142857142</v>
      </c>
      <c r="H36" s="1">
        <f t="shared" si="2"/>
        <v>2.3999999999999986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5970.0999999999985</v>
      </c>
      <c r="C37" s="49">
        <f>C31-C32-C34-C35-C33-C36</f>
        <v>6787.600000000003</v>
      </c>
      <c r="D37" s="49">
        <f>D31-D32-D34-D35-D33-D36</f>
        <v>5189.799999999993</v>
      </c>
      <c r="E37" s="1">
        <f>D37/D31*100</f>
        <v>18.97390713029615</v>
      </c>
      <c r="F37" s="1">
        <f t="shared" si="3"/>
        <v>86.92986717140407</v>
      </c>
      <c r="G37" s="1">
        <f t="shared" si="0"/>
        <v>76.46001532205773</v>
      </c>
      <c r="H37" s="1">
        <f>B37-D37</f>
        <v>780.3000000000056</v>
      </c>
      <c r="I37" s="1">
        <f t="shared" si="1"/>
        <v>1597.8000000000102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763.9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0.10140654980084404</v>
      </c>
      <c r="F41" s="3">
        <f>D41/B41*100</f>
        <v>62.233276606885724</v>
      </c>
      <c r="G41" s="3">
        <f t="shared" si="0"/>
        <v>57.93321959541798</v>
      </c>
      <c r="H41" s="3">
        <f t="shared" si="2"/>
        <v>288.49999999999994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5050.9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</f>
        <v>4296.2</v>
      </c>
      <c r="E43" s="3">
        <f>D43/D137*100</f>
        <v>0.9164131662902527</v>
      </c>
      <c r="F43" s="3">
        <f>D43/B43*100</f>
        <v>85.05810845591874</v>
      </c>
      <c r="G43" s="3">
        <f aca="true" t="shared" si="4" ref="G43:G73">D43/C43*100</f>
        <v>70.36952106401101</v>
      </c>
      <c r="H43" s="3">
        <f>B43-D43</f>
        <v>754.6999999999998</v>
      </c>
      <c r="I43" s="3">
        <f aca="true" t="shared" si="5" ref="I43:I74">C43-D43</f>
        <v>1809</v>
      </c>
    </row>
    <row r="44" spans="1:9" ht="18">
      <c r="A44" s="29" t="s">
        <v>3</v>
      </c>
      <c r="B44" s="49">
        <v>4466.6</v>
      </c>
      <c r="C44" s="50">
        <f>5484.1-124.7</f>
        <v>5359.400000000001</v>
      </c>
      <c r="D44" s="51">
        <f>179.7+201.3+187+211.8+190.5+230.5+236.3+199.9+0.1+218.5+248.3+8.2+228.5-0.1+273.7+231.2+200.7+36.5+228.6+183.7-0.1+193.6+217.6</f>
        <v>3905.999999999999</v>
      </c>
      <c r="E44" s="1">
        <f>D44/D43*100</f>
        <v>90.91755504864763</v>
      </c>
      <c r="F44" s="1">
        <f aca="true" t="shared" si="6" ref="F44:F71">D44/B44*100</f>
        <v>87.44906640397615</v>
      </c>
      <c r="G44" s="1">
        <f t="shared" si="4"/>
        <v>72.88129268201662</v>
      </c>
      <c r="H44" s="1">
        <f aca="true" t="shared" si="7" ref="H44:H71">B44-D44</f>
        <v>560.6000000000013</v>
      </c>
      <c r="I44" s="1">
        <f t="shared" si="5"/>
        <v>1453.4000000000015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0.02327638378101578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30.6</v>
      </c>
      <c r="C46" s="50">
        <f>35.1+9.9</f>
        <v>45</v>
      </c>
      <c r="D46" s="51">
        <f>3.2+3.4-0.1+3.7+3.6+3.5+3.2</f>
        <v>20.499999999999996</v>
      </c>
      <c r="E46" s="1">
        <f>D46/D43*100</f>
        <v>0.47716586751082346</v>
      </c>
      <c r="F46" s="1">
        <f t="shared" si="6"/>
        <v>66.99346405228756</v>
      </c>
      <c r="G46" s="1">
        <f t="shared" si="4"/>
        <v>45.55555555555555</v>
      </c>
      <c r="H46" s="1">
        <f t="shared" si="7"/>
        <v>10.100000000000005</v>
      </c>
      <c r="I46" s="1">
        <f t="shared" si="5"/>
        <v>24.500000000000004</v>
      </c>
    </row>
    <row r="47" spans="1:9" ht="18">
      <c r="A47" s="29" t="s">
        <v>0</v>
      </c>
      <c r="B47" s="49">
        <v>271.7</v>
      </c>
      <c r="C47" s="50">
        <f>358+23.1+0.1</f>
        <v>381.20000000000005</v>
      </c>
      <c r="D47" s="51">
        <f>23.1+2.7+0.5+0.4+5.2+0.6+99.9+12.6+20.5-0.1+2+19.6+1.1+0.5+4.4+0.4+3.4+4+2.3+0.3+1.3+0.1</f>
        <v>204.80000000000004</v>
      </c>
      <c r="E47" s="1">
        <f>D47/D43*100</f>
        <v>4.767003398352033</v>
      </c>
      <c r="F47" s="1">
        <f t="shared" si="6"/>
        <v>75.37725432462277</v>
      </c>
      <c r="G47" s="1">
        <f t="shared" si="4"/>
        <v>53.72507869884575</v>
      </c>
      <c r="H47" s="1">
        <f t="shared" si="7"/>
        <v>66.89999999999995</v>
      </c>
      <c r="I47" s="1">
        <f t="shared" si="5"/>
        <v>176.4</v>
      </c>
    </row>
    <row r="48" spans="1:9" ht="18.75" thickBot="1">
      <c r="A48" s="29" t="s">
        <v>35</v>
      </c>
      <c r="B48" s="50">
        <f>B43-B44-B47-B46-B45</f>
        <v>280.99999999999926</v>
      </c>
      <c r="C48" s="50">
        <f>C43-C44-C47-C46-C45</f>
        <v>318.5999999999992</v>
      </c>
      <c r="D48" s="50">
        <f>D43-D44-D47-D46-D45</f>
        <v>163.9000000000007</v>
      </c>
      <c r="E48" s="1">
        <f>D48/D43*100</f>
        <v>3.814999301708503</v>
      </c>
      <c r="F48" s="1">
        <f t="shared" si="6"/>
        <v>58.32740213523171</v>
      </c>
      <c r="G48" s="1">
        <f t="shared" si="4"/>
        <v>51.44381669805432</v>
      </c>
      <c r="H48" s="1">
        <f t="shared" si="7"/>
        <v>117.09999999999857</v>
      </c>
      <c r="I48" s="1">
        <f t="shared" si="5"/>
        <v>154.69999999999854</v>
      </c>
    </row>
    <row r="49" spans="1:9" ht="18.75" thickBot="1">
      <c r="A49" s="28" t="s">
        <v>4</v>
      </c>
      <c r="B49" s="52">
        <v>9970.3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</f>
        <v>8576.100000000002</v>
      </c>
      <c r="E49" s="3">
        <f>D49/D137*100</f>
        <v>1.8293494146971365</v>
      </c>
      <c r="F49" s="3">
        <f>D49/B49*100</f>
        <v>86.01646891267066</v>
      </c>
      <c r="G49" s="3">
        <f t="shared" si="4"/>
        <v>70.64216405001568</v>
      </c>
      <c r="H49" s="3">
        <f>B49-D49</f>
        <v>1394.199999999997</v>
      </c>
      <c r="I49" s="3">
        <f t="shared" si="5"/>
        <v>3564.0999999999967</v>
      </c>
    </row>
    <row r="50" spans="1:9" ht="18">
      <c r="A50" s="29" t="s">
        <v>3</v>
      </c>
      <c r="B50" s="49">
        <v>6254.1</v>
      </c>
      <c r="C50" s="50">
        <f>7727-234.9</f>
        <v>7492.1</v>
      </c>
      <c r="D50" s="51">
        <f>282.8+343.5+279.8+360.5+269.9+364.8-0.1+7.2+231.6+28.9+358.6+269.6+381.2-0.1+7.2+297.2+563.3+0.1+313.9+22.4+240.9+0.1+181.6+201.2+250.5+390.2-0.1</f>
        <v>5646.699999999999</v>
      </c>
      <c r="E50" s="1">
        <f>D50/D49*100</f>
        <v>65.8422826226373</v>
      </c>
      <c r="F50" s="1">
        <f t="shared" si="6"/>
        <v>90.2879710909643</v>
      </c>
      <c r="G50" s="1">
        <f t="shared" si="4"/>
        <v>75.36872172021194</v>
      </c>
      <c r="H50" s="1">
        <f t="shared" si="7"/>
        <v>607.4000000000015</v>
      </c>
      <c r="I50" s="1">
        <f t="shared" si="5"/>
        <v>1845.4000000000015</v>
      </c>
    </row>
    <row r="51" spans="1:9" ht="18">
      <c r="A51" s="29" t="s">
        <v>2</v>
      </c>
      <c r="B51" s="49">
        <v>6.5</v>
      </c>
      <c r="C51" s="50">
        <v>9.7</v>
      </c>
      <c r="D51" s="51">
        <f>0.5+0.8</f>
        <v>1.3</v>
      </c>
      <c r="E51" s="12">
        <f>D51/D49*100</f>
        <v>0.015158405335758676</v>
      </c>
      <c r="F51" s="1">
        <f t="shared" si="6"/>
        <v>20</v>
      </c>
      <c r="G51" s="1">
        <f t="shared" si="4"/>
        <v>13.402061855670105</v>
      </c>
      <c r="H51" s="1">
        <f t="shared" si="7"/>
        <v>5.2</v>
      </c>
      <c r="I51" s="1">
        <f t="shared" si="5"/>
        <v>8.399999999999999</v>
      </c>
    </row>
    <row r="52" spans="1:9" ht="18">
      <c r="A52" s="29" t="s">
        <v>1</v>
      </c>
      <c r="B52" s="49">
        <v>245.6</v>
      </c>
      <c r="C52" s="50">
        <v>325</v>
      </c>
      <c r="D52" s="51">
        <f>2.4+4.2+4.2+8.7+3.1+5.2-0.1+2.3+6.7+7.1+0.1+3.9+3.5+21.5+2.5-0.1+4.3+17.5+11.1+0.7-0.1+5.1+1.5+0.9+0.1+4.4</f>
        <v>120.70000000000002</v>
      </c>
      <c r="E52" s="1">
        <f>D52/D49*100</f>
        <v>1.4073996338662096</v>
      </c>
      <c r="F52" s="1">
        <f t="shared" si="6"/>
        <v>49.14495114006516</v>
      </c>
      <c r="G52" s="1">
        <f t="shared" si="4"/>
        <v>37.13846153846154</v>
      </c>
      <c r="H52" s="1">
        <f t="shared" si="7"/>
        <v>124.89999999999998</v>
      </c>
      <c r="I52" s="1">
        <f t="shared" si="5"/>
        <v>204.29999999999998</v>
      </c>
    </row>
    <row r="53" spans="1:9" ht="18">
      <c r="A53" s="29" t="s">
        <v>0</v>
      </c>
      <c r="B53" s="49">
        <v>311.9</v>
      </c>
      <c r="C53" s="50">
        <f>534.1-3</f>
        <v>531.1</v>
      </c>
      <c r="D53" s="51">
        <f>6+11+5+10.4+0.1+20.8+16+0.1+76.5+39.2+7.7+0.3+8.1+0.1+0.2+12-0.1+0.1+4.7+0.1+6.4+2.7+8.2+0.3+5.7+1.7+0.9+0.1+5.2</f>
        <v>249.4999999999999</v>
      </c>
      <c r="E53" s="1">
        <f>D53/D49*100</f>
        <v>2.9092477932859904</v>
      </c>
      <c r="F53" s="1">
        <f t="shared" si="6"/>
        <v>79.99358768836163</v>
      </c>
      <c r="G53" s="1">
        <f t="shared" si="4"/>
        <v>46.977970250423624</v>
      </c>
      <c r="H53" s="1">
        <f t="shared" si="7"/>
        <v>62.40000000000009</v>
      </c>
      <c r="I53" s="1">
        <f t="shared" si="5"/>
        <v>281.60000000000014</v>
      </c>
    </row>
    <row r="54" spans="1:9" ht="18.75" thickBot="1">
      <c r="A54" s="29" t="s">
        <v>35</v>
      </c>
      <c r="B54" s="50">
        <f>B49-B50-B53-B52-B51</f>
        <v>3152.199999999999</v>
      </c>
      <c r="C54" s="50">
        <f>C49-C50-C53-C52-C51</f>
        <v>3782.2999999999984</v>
      </c>
      <c r="D54" s="50">
        <f>D49-D50-D53-D52-D51</f>
        <v>2557.9000000000033</v>
      </c>
      <c r="E54" s="1">
        <f>D54/D49*100</f>
        <v>29.82591154487474</v>
      </c>
      <c r="F54" s="1">
        <f t="shared" si="6"/>
        <v>81.14650085654476</v>
      </c>
      <c r="G54" s="1">
        <f t="shared" si="4"/>
        <v>67.62816275811025</v>
      </c>
      <c r="H54" s="1">
        <f t="shared" si="7"/>
        <v>594.2999999999956</v>
      </c>
      <c r="I54" s="1">
        <f>C54-D54</f>
        <v>1224.399999999995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2757.2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</f>
        <v>2561.5</v>
      </c>
      <c r="E56" s="3">
        <f>D56/D137*100</f>
        <v>0.5463880465184308</v>
      </c>
      <c r="F56" s="3">
        <f>D56/B56*100</f>
        <v>92.90221964311621</v>
      </c>
      <c r="G56" s="3">
        <f t="shared" si="4"/>
        <v>84.85159666092487</v>
      </c>
      <c r="H56" s="3">
        <f>B56-D56</f>
        <v>195.69999999999982</v>
      </c>
      <c r="I56" s="3">
        <f t="shared" si="5"/>
        <v>457.3000000000002</v>
      </c>
    </row>
    <row r="57" spans="1:9" ht="18">
      <c r="A57" s="29" t="s">
        <v>3</v>
      </c>
      <c r="B57" s="49">
        <v>1575.5</v>
      </c>
      <c r="C57" s="50">
        <f>2589.6-887.6+7.9</f>
        <v>1709.9</v>
      </c>
      <c r="D57" s="51">
        <f>128-60.9+102.5+75.2+87.9+68.6+30+93+68.5+96.9-0.1+67+116.4+112.6+49.7+83+52.4+24.4+26.2+0.2+55.4+42.6+44.2+67.6+0.1</f>
        <v>1431.4</v>
      </c>
      <c r="E57" s="1">
        <f>D57/D56*100</f>
        <v>55.88131953933243</v>
      </c>
      <c r="F57" s="1">
        <f t="shared" si="6"/>
        <v>90.85369723897176</v>
      </c>
      <c r="G57" s="1">
        <f t="shared" si="4"/>
        <v>83.7124978068893</v>
      </c>
      <c r="H57" s="1">
        <f t="shared" si="7"/>
        <v>144.0999999999999</v>
      </c>
      <c r="I57" s="1">
        <f t="shared" si="5"/>
        <v>278.5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7.081788014835058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166.1</v>
      </c>
      <c r="C59" s="50">
        <f>297.4-9.5</f>
        <v>287.9</v>
      </c>
      <c r="D59" s="51">
        <f>4.5+4.5+30.5+35.2+10+24.5+10.2+0.1+1.9+1.8+3+1.2+0.9+0.8+1.4</f>
        <v>130.50000000000003</v>
      </c>
      <c r="E59" s="1">
        <f>D59/D56*100</f>
        <v>5.094671091157526</v>
      </c>
      <c r="F59" s="1">
        <f t="shared" si="6"/>
        <v>78.56712823600243</v>
      </c>
      <c r="G59" s="1">
        <f t="shared" si="4"/>
        <v>45.32823897186524</v>
      </c>
      <c r="H59" s="1">
        <f t="shared" si="7"/>
        <v>35.599999999999966</v>
      </c>
      <c r="I59" s="1">
        <f t="shared" si="5"/>
        <v>157.39999999999995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28.43255904743315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105.89999999999984</v>
      </c>
      <c r="C61" s="50">
        <f>C56-C57-C59-C60-C58</f>
        <v>111.30000000000004</v>
      </c>
      <c r="D61" s="50">
        <f>D56-D57-D59-D60-D58</f>
        <v>89.89999999999984</v>
      </c>
      <c r="E61" s="1">
        <f>D61/D56*100</f>
        <v>3.509662307241844</v>
      </c>
      <c r="F61" s="1">
        <f t="shared" si="6"/>
        <v>84.89140698772425</v>
      </c>
      <c r="G61" s="1">
        <f t="shared" si="4"/>
        <v>80.77268643306361</v>
      </c>
      <c r="H61" s="1">
        <f t="shared" si="7"/>
        <v>16</v>
      </c>
      <c r="I61" s="1">
        <f t="shared" si="5"/>
        <v>21.400000000000205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380.8</v>
      </c>
      <c r="C66" s="53">
        <f>C67+C68</f>
        <v>460</v>
      </c>
      <c r="D66" s="54">
        <f>SUM(D67:D68)</f>
        <v>1.4</v>
      </c>
      <c r="E66" s="42">
        <f>D66/D137*100</f>
        <v>0.00029863098384766857</v>
      </c>
      <c r="F66" s="113">
        <f>D66/B66*100</f>
        <v>0.3676470588235294</v>
      </c>
      <c r="G66" s="3">
        <f t="shared" si="4"/>
        <v>0.30434782608695654</v>
      </c>
      <c r="H66" s="3">
        <f>B66-D66</f>
        <v>379.40000000000003</v>
      </c>
      <c r="I66" s="3">
        <f t="shared" si="5"/>
        <v>458.6</v>
      </c>
    </row>
    <row r="67" spans="1:9" ht="18">
      <c r="A67" s="29" t="s">
        <v>8</v>
      </c>
      <c r="B67" s="49">
        <v>294.5</v>
      </c>
      <c r="C67" s="50">
        <v>257.4</v>
      </c>
      <c r="D67" s="51">
        <f>1.4</f>
        <v>1.4</v>
      </c>
      <c r="E67" s="1"/>
      <c r="F67" s="1">
        <f t="shared" si="6"/>
        <v>0.4753820033955857</v>
      </c>
      <c r="G67" s="1">
        <f t="shared" si="4"/>
        <v>0.5439005439005439</v>
      </c>
      <c r="H67" s="1">
        <f t="shared" si="7"/>
        <v>293.1</v>
      </c>
      <c r="I67" s="1">
        <f t="shared" si="5"/>
        <v>255.99999999999997</v>
      </c>
    </row>
    <row r="68" spans="1:9" ht="18.75" thickBot="1">
      <c r="A68" s="29" t="s">
        <v>9</v>
      </c>
      <c r="B68" s="49">
        <v>86.3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86.3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333.3</v>
      </c>
      <c r="C74" s="69">
        <v>400</v>
      </c>
      <c r="D74" s="70"/>
      <c r="E74" s="48"/>
      <c r="F74" s="48"/>
      <c r="G74" s="48"/>
      <c r="H74" s="48">
        <f>B74-D74</f>
        <v>333.3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38287.9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</f>
        <v>32493.400000000005</v>
      </c>
      <c r="E87" s="3">
        <f>D87/D137*100</f>
        <v>6.931097150397026</v>
      </c>
      <c r="F87" s="3">
        <f aca="true" t="shared" si="10" ref="F87:F92">D87/B87*100</f>
        <v>84.86597593495596</v>
      </c>
      <c r="G87" s="3">
        <f t="shared" si="8"/>
        <v>72.26697506838957</v>
      </c>
      <c r="H87" s="3">
        <f aca="true" t="shared" si="11" ref="H87:H92">B87-D87</f>
        <v>5794.499999999996</v>
      </c>
      <c r="I87" s="3">
        <f t="shared" si="9"/>
        <v>12469.599999999995</v>
      </c>
    </row>
    <row r="88" spans="1:9" ht="18">
      <c r="A88" s="29" t="s">
        <v>3</v>
      </c>
      <c r="B88" s="49">
        <v>32207.1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</f>
        <v>27924.2</v>
      </c>
      <c r="E88" s="1">
        <f>D88/D87*100</f>
        <v>85.9380674229228</v>
      </c>
      <c r="F88" s="1">
        <f t="shared" si="10"/>
        <v>86.70200049057507</v>
      </c>
      <c r="G88" s="1">
        <f t="shared" si="8"/>
        <v>73.46095868968729</v>
      </c>
      <c r="H88" s="1">
        <f t="shared" si="11"/>
        <v>4282.899999999998</v>
      </c>
      <c r="I88" s="1">
        <f t="shared" si="9"/>
        <v>10088.100000000002</v>
      </c>
    </row>
    <row r="89" spans="1:9" ht="18">
      <c r="A89" s="29" t="s">
        <v>33</v>
      </c>
      <c r="B89" s="49">
        <v>1567.9</v>
      </c>
      <c r="C89" s="50">
        <f>1866.3+51.3</f>
        <v>1917.6</v>
      </c>
      <c r="D89" s="51">
        <f>125+55.5+51.3+1.7-0.1+10.4+5.3+280.6+162.7+2.2+25.3+117.8+56.8+64.4+1.4+31+7.8+37.2+1.9+36.4+8.8+1+3.9+10.1+30.1+1.8+10.7+4.2+23.3+14.3</f>
        <v>1182.8</v>
      </c>
      <c r="E89" s="1">
        <f>D89/D87*100</f>
        <v>3.640123840533769</v>
      </c>
      <c r="F89" s="1">
        <f t="shared" si="10"/>
        <v>75.43848459723196</v>
      </c>
      <c r="G89" s="1">
        <f t="shared" si="8"/>
        <v>61.68126825198165</v>
      </c>
      <c r="H89" s="1">
        <f t="shared" si="11"/>
        <v>385.10000000000014</v>
      </c>
      <c r="I89" s="1">
        <f t="shared" si="9"/>
        <v>734.8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4512.900000000003</v>
      </c>
      <c r="C91" s="50">
        <f>C87-C88-C89-C90</f>
        <v>5033.099999999997</v>
      </c>
      <c r="D91" s="50">
        <f>D87-D88-D89-D90</f>
        <v>3386.400000000004</v>
      </c>
      <c r="E91" s="1">
        <f>D91/D87*100</f>
        <v>10.421808736543433</v>
      </c>
      <c r="F91" s="1">
        <f t="shared" si="10"/>
        <v>75.03822375855884</v>
      </c>
      <c r="G91" s="1">
        <f>D91/C91*100</f>
        <v>67.28258925910485</v>
      </c>
      <c r="H91" s="1">
        <f t="shared" si="11"/>
        <v>1126.499999999999</v>
      </c>
      <c r="I91" s="1">
        <f>C91-D91</f>
        <v>1646.6999999999925</v>
      </c>
    </row>
    <row r="92" spans="1:9" ht="19.5" thickBot="1">
      <c r="A92" s="14" t="s">
        <v>12</v>
      </c>
      <c r="B92" s="61">
        <v>37629.4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</f>
        <v>25923.000000000004</v>
      </c>
      <c r="E92" s="3">
        <f>D92/D137*100</f>
        <v>5.529579281630795</v>
      </c>
      <c r="F92" s="3">
        <f t="shared" si="10"/>
        <v>68.89028259818122</v>
      </c>
      <c r="G92" s="3">
        <f>D92/C92*100</f>
        <v>59.93424642331987</v>
      </c>
      <c r="H92" s="3">
        <f t="shared" si="11"/>
        <v>11706.399999999998</v>
      </c>
      <c r="I92" s="3">
        <f>C92-D92</f>
        <v>17329.399999999998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5190.9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</f>
        <v>4307.599999999999</v>
      </c>
      <c r="E98" s="25">
        <f>D98/D137*100</f>
        <v>0.9188448757301552</v>
      </c>
      <c r="F98" s="25">
        <f>D98/B98*100</f>
        <v>82.98368298368298</v>
      </c>
      <c r="G98" s="25">
        <f aca="true" t="shared" si="12" ref="G98:G135">D98/C98*100</f>
        <v>69.88546026801647</v>
      </c>
      <c r="H98" s="25">
        <f aca="true" t="shared" si="13" ref="H98:H103">B98-D98</f>
        <v>883.3000000000002</v>
      </c>
      <c r="I98" s="25">
        <f aca="true" t="shared" si="14" ref="I98:I135">C98-D98</f>
        <v>1856.2000000000007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0.3528647042436624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v>4816.4</v>
      </c>
      <c r="C100" s="51">
        <f>5711.4</f>
        <v>5711.4</v>
      </c>
      <c r="D100" s="51">
        <f>3302.1+5.1+16.7+151+216.3+17.4+13.8+53.7+7.6+119.5+15.5+6.4+75</f>
        <v>4000.1</v>
      </c>
      <c r="E100" s="1">
        <f>D100/D98*100</f>
        <v>92.86145417401802</v>
      </c>
      <c r="F100" s="1">
        <f aca="true" t="shared" si="15" ref="F100:F135">D100/B100*100</f>
        <v>83.05165683913297</v>
      </c>
      <c r="G100" s="1">
        <f t="shared" si="12"/>
        <v>70.03711874496621</v>
      </c>
      <c r="H100" s="1">
        <f t="shared" si="13"/>
        <v>816.2999999999997</v>
      </c>
      <c r="I100" s="1">
        <f t="shared" si="14"/>
        <v>1711.2999999999997</v>
      </c>
    </row>
    <row r="101" spans="1:9" ht="54.75" thickBot="1">
      <c r="A101" s="99" t="s">
        <v>107</v>
      </c>
      <c r="B101" s="101">
        <v>307.2</v>
      </c>
      <c r="C101" s="101">
        <v>400.1</v>
      </c>
      <c r="D101" s="101">
        <f>17.7+41.2+3+5.2+16.9+34.4+10.6+13.9+13.1+2.6+3.8+6.5</f>
        <v>168.9</v>
      </c>
      <c r="E101" s="97">
        <f>D101/D98*100</f>
        <v>3.9209768780759595</v>
      </c>
      <c r="F101" s="97">
        <f>D101/B101*100</f>
        <v>54.98046875</v>
      </c>
      <c r="G101" s="97">
        <f>D101/C101*100</f>
        <v>42.2144463884029</v>
      </c>
      <c r="H101" s="97">
        <f t="shared" si="13"/>
        <v>138.29999999999998</v>
      </c>
      <c r="I101" s="97">
        <f>C101-D101</f>
        <v>231.20000000000002</v>
      </c>
    </row>
    <row r="102" spans="1:9" ht="18.75" thickBot="1">
      <c r="A102" s="99" t="s">
        <v>35</v>
      </c>
      <c r="B102" s="101">
        <f>B98-B99-B100</f>
        <v>359.3000000000002</v>
      </c>
      <c r="C102" s="101">
        <f>C98-C99-C100</f>
        <v>437.2000000000007</v>
      </c>
      <c r="D102" s="101">
        <f>D98-D99-D100</f>
        <v>292.2999999999997</v>
      </c>
      <c r="E102" s="97">
        <f>D102/D98*100</f>
        <v>6.785681121738317</v>
      </c>
      <c r="F102" s="97">
        <f t="shared" si="15"/>
        <v>81.35263011411065</v>
      </c>
      <c r="G102" s="97">
        <f t="shared" si="12"/>
        <v>66.85727355901172</v>
      </c>
      <c r="H102" s="97">
        <f>B102-D102</f>
        <v>67.00000000000045</v>
      </c>
      <c r="I102" s="97">
        <f t="shared" si="14"/>
        <v>144.900000000001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13985.199999999997</v>
      </c>
      <c r="C103" s="94">
        <f>SUM(C104:C134)-C111-C115+C135-C130-C131-C105-C108-C118-C119</f>
        <v>17184.1</v>
      </c>
      <c r="D103" s="94">
        <f>SUM(D104:D134)-D111-D115+D135-D130-D131-D105-D108-D118-D119</f>
        <v>9912.9</v>
      </c>
      <c r="E103" s="95">
        <f>D103/D137*100</f>
        <v>2.1144993427025383</v>
      </c>
      <c r="F103" s="95">
        <f>D103/B103*100</f>
        <v>70.88136029516919</v>
      </c>
      <c r="G103" s="95">
        <f t="shared" si="12"/>
        <v>57.686465977269684</v>
      </c>
      <c r="H103" s="95">
        <f t="shared" si="13"/>
        <v>4072.2999999999975</v>
      </c>
      <c r="I103" s="95">
        <f t="shared" si="14"/>
        <v>7271.199999999999</v>
      </c>
    </row>
    <row r="104" spans="1:9" ht="37.5">
      <c r="A104" s="34" t="s">
        <v>69</v>
      </c>
      <c r="B104" s="79">
        <v>1046.4</v>
      </c>
      <c r="C104" s="75">
        <f>1869.9-400</f>
        <v>1469.9</v>
      </c>
      <c r="D104" s="80">
        <f>1.4+20.1+85.2+143.2+49+97.4+39.5+2.1+10+69.9+14+22.7+50+22.1+4.6</f>
        <v>631.2</v>
      </c>
      <c r="E104" s="6">
        <f>D104/D103*100</f>
        <v>6.367460581666315</v>
      </c>
      <c r="F104" s="6">
        <f t="shared" si="15"/>
        <v>60.321100917431195</v>
      </c>
      <c r="G104" s="6">
        <f t="shared" si="12"/>
        <v>42.94169671406218</v>
      </c>
      <c r="H104" s="6">
        <f aca="true" t="shared" si="16" ref="H104:H135">B104-D104</f>
        <v>415.20000000000005</v>
      </c>
      <c r="I104" s="6">
        <f t="shared" si="14"/>
        <v>838.7</v>
      </c>
    </row>
    <row r="105" spans="1:9" ht="18">
      <c r="A105" s="29" t="s">
        <v>33</v>
      </c>
      <c r="B105" s="82">
        <v>580.5</v>
      </c>
      <c r="C105" s="51">
        <f>1242.6+0.7-337</f>
        <v>906.3</v>
      </c>
      <c r="D105" s="83">
        <f>1.4+85.2+143.2+49+2.1+10+14+22.7</f>
        <v>327.6</v>
      </c>
      <c r="E105" s="1"/>
      <c r="F105" s="1">
        <f t="shared" si="15"/>
        <v>56.43410852713179</v>
      </c>
      <c r="G105" s="1">
        <f t="shared" si="12"/>
        <v>36.14697120158888</v>
      </c>
      <c r="H105" s="1">
        <f t="shared" si="16"/>
        <v>252.89999999999998</v>
      </c>
      <c r="I105" s="1">
        <f t="shared" si="14"/>
        <v>578.6999999999999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</f>
        <v>4.7</v>
      </c>
      <c r="E106" s="6">
        <f>D106/D103*100</f>
        <v>0.04741296694206539</v>
      </c>
      <c r="F106" s="6">
        <f>D106/B106*100</f>
        <v>0.5481049562682216</v>
      </c>
      <c r="G106" s="6">
        <f t="shared" si="12"/>
        <v>0.5481049562682216</v>
      </c>
      <c r="H106" s="6">
        <f t="shared" si="16"/>
        <v>852.8</v>
      </c>
      <c r="I106" s="6">
        <f t="shared" si="14"/>
        <v>852.8</v>
      </c>
    </row>
    <row r="107" spans="1:9" ht="34.5" customHeight="1">
      <c r="A107" s="17" t="s">
        <v>78</v>
      </c>
      <c r="B107" s="81">
        <v>29.7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29.7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62.8</v>
      </c>
      <c r="C109" s="68">
        <v>75.5</v>
      </c>
      <c r="D109" s="80">
        <f>5.5+5.5+5.5-0.1+5.5+5.5+5.5+5.5-0.1+5.5</f>
        <v>43.8</v>
      </c>
      <c r="E109" s="6">
        <f>D109/D103*100</f>
        <v>0.4418485004388221</v>
      </c>
      <c r="F109" s="6">
        <f t="shared" si="15"/>
        <v>69.7452229299363</v>
      </c>
      <c r="G109" s="6">
        <f t="shared" si="12"/>
        <v>58.01324503311258</v>
      </c>
      <c r="H109" s="6">
        <f t="shared" si="16"/>
        <v>19</v>
      </c>
      <c r="I109" s="6">
        <f t="shared" si="14"/>
        <v>31.700000000000003</v>
      </c>
    </row>
    <row r="110" spans="1:9" ht="37.5">
      <c r="A110" s="17" t="s">
        <v>47</v>
      </c>
      <c r="B110" s="81">
        <v>866.1</v>
      </c>
      <c r="C110" s="68">
        <v>1050</v>
      </c>
      <c r="D110" s="80">
        <f>149.7+2.5+4.1+81.3+2.1+67.3+8+8.2+93.7+3.3+1.1+74.6+81.4+0.6+75.3+2.1</f>
        <v>655.3</v>
      </c>
      <c r="E110" s="6">
        <f>D110/D103*100</f>
        <v>6.610578135560734</v>
      </c>
      <c r="F110" s="6">
        <f t="shared" si="15"/>
        <v>75.66100912134857</v>
      </c>
      <c r="G110" s="6">
        <f t="shared" si="12"/>
        <v>62.409523809523805</v>
      </c>
      <c r="H110" s="6">
        <f t="shared" si="16"/>
        <v>210.80000000000007</v>
      </c>
      <c r="I110" s="6">
        <f t="shared" si="14"/>
        <v>394.70000000000005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0.23101211552623346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192.9</v>
      </c>
      <c r="C113" s="68">
        <f>488.6-250</f>
        <v>238.60000000000002</v>
      </c>
      <c r="D113" s="80">
        <f>4.9+70</f>
        <v>74.9</v>
      </c>
      <c r="E113" s="6">
        <f>D113/D103*100</f>
        <v>0.7555811114809996</v>
      </c>
      <c r="F113" s="6">
        <f>D113/B113*100</f>
        <v>38.828408501814415</v>
      </c>
      <c r="G113" s="6">
        <f t="shared" si="12"/>
        <v>31.391450125733446</v>
      </c>
      <c r="H113" s="6">
        <f t="shared" si="16"/>
        <v>118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174.9</v>
      </c>
      <c r="C114" s="60">
        <f>153.4+26.9</f>
        <v>180.3</v>
      </c>
      <c r="D114" s="80">
        <f>13.5+13.4+14.3+0.8+6.9+0.4+13.5-0.1+0.8+0.5+2+13.5-0.1+0.1+13.9+0.3+2.4+13.5+0.3+6.3+13.5</f>
        <v>129.7</v>
      </c>
      <c r="E114" s="6">
        <f>D114/D103*100</f>
        <v>1.3083961302948681</v>
      </c>
      <c r="F114" s="6">
        <f t="shared" si="15"/>
        <v>74.15666094911377</v>
      </c>
      <c r="G114" s="6">
        <f t="shared" si="12"/>
        <v>71.93566278424846</v>
      </c>
      <c r="H114" s="6">
        <f t="shared" si="16"/>
        <v>45.20000000000002</v>
      </c>
      <c r="I114" s="6">
        <f t="shared" si="14"/>
        <v>50.60000000000002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</f>
        <v>107.8</v>
      </c>
      <c r="E115" s="1"/>
      <c r="F115" s="1">
        <f t="shared" si="15"/>
        <v>72.7395411605938</v>
      </c>
      <c r="G115" s="1">
        <f t="shared" si="12"/>
        <v>72.7395411605938</v>
      </c>
      <c r="H115" s="1">
        <f t="shared" si="16"/>
        <v>40.39999999999999</v>
      </c>
      <c r="I115" s="1">
        <f t="shared" si="14"/>
        <v>40.39999999999999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674.7</v>
      </c>
      <c r="C117" s="60">
        <f>94.7+700</f>
        <v>794.7</v>
      </c>
      <c r="D117" s="84">
        <f>16.2+3.7+20.7+6.7+10.5</f>
        <v>57.8</v>
      </c>
      <c r="E117" s="19">
        <f>D117/D103*100</f>
        <v>0.5830786147343361</v>
      </c>
      <c r="F117" s="6">
        <f t="shared" si="15"/>
        <v>8.566770416481399</v>
      </c>
      <c r="G117" s="6">
        <f t="shared" si="12"/>
        <v>7.27318484962879</v>
      </c>
      <c r="H117" s="6">
        <f t="shared" si="16"/>
        <v>616.9000000000001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1661.4</v>
      </c>
      <c r="C120" s="60">
        <v>1700.1</v>
      </c>
      <c r="D120" s="84">
        <f>196.6+25+11.8+12.7+6.1+3.1+261.8+113.5+10.8</f>
        <v>641.4</v>
      </c>
      <c r="E120" s="19">
        <f>D120/D103*100</f>
        <v>6.470356807795902</v>
      </c>
      <c r="F120" s="6">
        <f t="shared" si="15"/>
        <v>38.60599494402311</v>
      </c>
      <c r="G120" s="6">
        <f t="shared" si="12"/>
        <v>37.72719251808717</v>
      </c>
      <c r="H120" s="6">
        <f t="shared" si="16"/>
        <v>1020.0000000000001</v>
      </c>
      <c r="I120" s="6">
        <f t="shared" si="14"/>
        <v>1058.6999999999998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0.044386607350018654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0.49632297309566314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</f>
        <v>42.1</v>
      </c>
      <c r="E124" s="19">
        <f>D124/D103*100</f>
        <v>0.4246991294172241</v>
      </c>
      <c r="F124" s="6">
        <f t="shared" si="15"/>
        <v>49.70484061393152</v>
      </c>
      <c r="G124" s="6">
        <f t="shared" si="12"/>
        <v>49.70484061393152</v>
      </c>
      <c r="H124" s="6">
        <f t="shared" si="16"/>
        <v>42.6</v>
      </c>
      <c r="I124" s="6">
        <f t="shared" si="14"/>
        <v>42.6</v>
      </c>
    </row>
    <row r="125" spans="1:9" s="2" customFormat="1" ht="18.75">
      <c r="A125" s="17" t="s">
        <v>75</v>
      </c>
      <c r="B125" s="81">
        <v>164.5</v>
      </c>
      <c r="C125" s="60">
        <v>178.8</v>
      </c>
      <c r="D125" s="84">
        <f>7.2+1.4+9.3+6.8+7.7+4.3+1.8+6+21.8+13.1+2.5+17+2.4+20.7+0.2+12.9</f>
        <v>135.1</v>
      </c>
      <c r="E125" s="19">
        <f>D125/D103*100</f>
        <v>1.3628706029517095</v>
      </c>
      <c r="F125" s="6">
        <f t="shared" si="15"/>
        <v>82.12765957446808</v>
      </c>
      <c r="G125" s="6">
        <f t="shared" si="12"/>
        <v>75.5592841163311</v>
      </c>
      <c r="H125" s="6">
        <f t="shared" si="16"/>
        <v>29.400000000000006</v>
      </c>
      <c r="I125" s="6">
        <f t="shared" si="14"/>
        <v>43.70000000000002</v>
      </c>
    </row>
    <row r="126" spans="1:9" s="2" customFormat="1" ht="35.25" customHeight="1">
      <c r="A126" s="17" t="s">
        <v>74</v>
      </c>
      <c r="B126" s="81">
        <v>46.8</v>
      </c>
      <c r="C126" s="60">
        <v>67.6</v>
      </c>
      <c r="D126" s="84">
        <f>0.5+1.5+0.1+14.8</f>
        <v>16.900000000000002</v>
      </c>
      <c r="E126" s="19">
        <f>D126/D103*100</f>
        <v>0.17048492368529897</v>
      </c>
      <c r="F126" s="6">
        <f t="shared" si="15"/>
        <v>36.111111111111114</v>
      </c>
      <c r="G126" s="6">
        <f t="shared" si="12"/>
        <v>25.000000000000007</v>
      </c>
      <c r="H126" s="6">
        <f t="shared" si="16"/>
        <v>29.899999999999995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60</v>
      </c>
      <c r="C127" s="60">
        <v>60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60</v>
      </c>
      <c r="I127" s="6">
        <f t="shared" si="14"/>
        <v>60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727.1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</f>
        <v>645.7000000000003</v>
      </c>
      <c r="E129" s="19">
        <f>D129/D103*100</f>
        <v>6.513734628615242</v>
      </c>
      <c r="F129" s="6">
        <f t="shared" si="15"/>
        <v>88.80484114977311</v>
      </c>
      <c r="G129" s="6">
        <f t="shared" si="12"/>
        <v>74.37226445519468</v>
      </c>
      <c r="H129" s="6">
        <f t="shared" si="16"/>
        <v>81.39999999999975</v>
      </c>
      <c r="I129" s="6">
        <f t="shared" si="14"/>
        <v>222.49999999999977</v>
      </c>
    </row>
    <row r="130" spans="1:9" s="39" customFormat="1" ht="18">
      <c r="A130" s="40" t="s">
        <v>54</v>
      </c>
      <c r="B130" s="82">
        <v>630.1</v>
      </c>
      <c r="C130" s="51">
        <v>747.1</v>
      </c>
      <c r="D130" s="83">
        <f>21.4+1.2+34.6+22.6+31.2+22.6+44.8+0.2+32.7+30.6+29.7+33.6+24.3+38.4+29.7+36.6+5.6+24.5+36.9+39.8+25</f>
        <v>566</v>
      </c>
      <c r="E130" s="1">
        <f>D130/D129*100</f>
        <v>87.65680656651692</v>
      </c>
      <c r="F130" s="1">
        <f>D130/B130*100</f>
        <v>89.82701158546263</v>
      </c>
      <c r="G130" s="1">
        <f t="shared" si="12"/>
        <v>75.75960380136527</v>
      </c>
      <c r="H130" s="1">
        <f t="shared" si="16"/>
        <v>64.10000000000002</v>
      </c>
      <c r="I130" s="1">
        <f t="shared" si="14"/>
        <v>181.10000000000002</v>
      </c>
    </row>
    <row r="131" spans="1:9" s="39" customFormat="1" ht="18">
      <c r="A131" s="29" t="s">
        <v>33</v>
      </c>
      <c r="B131" s="82">
        <v>15.4</v>
      </c>
      <c r="C131" s="51">
        <f>27.4-3</f>
        <v>24.4</v>
      </c>
      <c r="D131" s="83">
        <f>3.4+3+2.7+1.6-0.1+0.1+0.1+0.1+0.1</f>
        <v>11</v>
      </c>
      <c r="E131" s="1">
        <f>D131/D129*100</f>
        <v>1.7035775127768307</v>
      </c>
      <c r="F131" s="1">
        <f>D131/B131*100</f>
        <v>71.42857142857143</v>
      </c>
      <c r="G131" s="1">
        <f>D131/C131*100</f>
        <v>45.08196721311475</v>
      </c>
      <c r="H131" s="1">
        <f t="shared" si="16"/>
        <v>4.4</v>
      </c>
      <c r="I131" s="1">
        <f t="shared" si="14"/>
        <v>13.399999999999999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63.37196985745847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4.79980631298611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20654.1</v>
      </c>
      <c r="C136" s="85">
        <f>C41+C66+C69+C74+C76+C84+C98+C103+C96+C81+C94</f>
        <v>25028.5</v>
      </c>
      <c r="D136" s="60">
        <f>D41+D66+D69+D74+D76+D84+D98+D103+D96+D81+D94</f>
        <v>14697.3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539934.6000000001</v>
      </c>
      <c r="C137" s="54">
        <f>C6+C17+C31+C41+C49+C56+C66+C69+C74+C76+C84+C87+C92+C98+C103+C96+C81+C94+C43</f>
        <v>624159.8</v>
      </c>
      <c r="D137" s="54">
        <f>D6+D17+D31+D41+D49+D56+D66+D69+D74+D76+D84+D87+D92+D98+D103+D96+D81+D94+D43</f>
        <v>468806.0100000001</v>
      </c>
      <c r="E137" s="38">
        <v>100</v>
      </c>
      <c r="F137" s="3">
        <f>D137/B137*100</f>
        <v>86.8264434248148</v>
      </c>
      <c r="G137" s="3">
        <f aca="true" t="shared" si="17" ref="G137:G143">D137/C137*100</f>
        <v>75.10993338564901</v>
      </c>
      <c r="H137" s="3">
        <f aca="true" t="shared" si="18" ref="H137:H143">B137-D137</f>
        <v>71128.58999999997</v>
      </c>
      <c r="I137" s="3">
        <f aca="true" t="shared" si="19" ref="I137:I143">C137-D137</f>
        <v>155353.78999999992</v>
      </c>
      <c r="K137" s="46"/>
      <c r="L137" s="47"/>
    </row>
    <row r="138" spans="1:12" ht="18.75">
      <c r="A138" s="23" t="s">
        <v>5</v>
      </c>
      <c r="B138" s="67">
        <f>B7+B18+B32+B50+B57+B88+B111+B115+B44+B130</f>
        <v>385722.29999999993</v>
      </c>
      <c r="C138" s="67">
        <f>C7+C18+C32+C50+C57+C88+C111+C115+C44+C130</f>
        <v>430367.6</v>
      </c>
      <c r="D138" s="67">
        <f>D7+D18+D32+D50+D57+D88+D111+D115+D44+D130</f>
        <v>351719.49999999994</v>
      </c>
      <c r="E138" s="6">
        <f>D138/D137*100</f>
        <v>75.02452880243575</v>
      </c>
      <c r="F138" s="6">
        <f aca="true" t="shared" si="20" ref="F138:F149">D138/B138*100</f>
        <v>91.18464242280004</v>
      </c>
      <c r="G138" s="6">
        <f t="shared" si="17"/>
        <v>81.72536687241325</v>
      </c>
      <c r="H138" s="6">
        <f t="shared" si="18"/>
        <v>34002.79999999999</v>
      </c>
      <c r="I138" s="18">
        <f t="shared" si="19"/>
        <v>78648.10000000003</v>
      </c>
      <c r="K138" s="46"/>
      <c r="L138" s="47"/>
    </row>
    <row r="139" spans="1:12" ht="18.75">
      <c r="A139" s="23" t="s">
        <v>0</v>
      </c>
      <c r="B139" s="68">
        <f>B10+B21+B34+B53+B59+B89+B47+B131+B105+B108</f>
        <v>43595.8</v>
      </c>
      <c r="C139" s="68">
        <f>C10+C21+C34+C53+C59+C89+C47+C131+C105+C108</f>
        <v>64582.799999999996</v>
      </c>
      <c r="D139" s="68">
        <f>D10+D21+D34+D53+D59+D89+D47+D131+D105+D108</f>
        <v>35775.700000000004</v>
      </c>
      <c r="E139" s="6">
        <f>D139/D137*100</f>
        <v>7.631237492027884</v>
      </c>
      <c r="F139" s="6">
        <f t="shared" si="20"/>
        <v>82.06226287853417</v>
      </c>
      <c r="G139" s="6">
        <f t="shared" si="17"/>
        <v>55.39508971428927</v>
      </c>
      <c r="H139" s="6">
        <f t="shared" si="18"/>
        <v>7820.0999999999985</v>
      </c>
      <c r="I139" s="18">
        <f t="shared" si="19"/>
        <v>28807.09999999999</v>
      </c>
      <c r="K139" s="46"/>
      <c r="L139" s="103"/>
    </row>
    <row r="140" spans="1:12" ht="18.75">
      <c r="A140" s="23" t="s">
        <v>1</v>
      </c>
      <c r="B140" s="67">
        <f>B20+B9+B52+B46+B58+B33+B99+B119</f>
        <v>16570.800000000003</v>
      </c>
      <c r="C140" s="67">
        <f>C20+C9+C52+C46+C58+C33+C99+C119</f>
        <v>20516.600000000002</v>
      </c>
      <c r="D140" s="67">
        <f>D20+D9+D52+D46+D58+D33+D99+D119</f>
        <v>13897.900000000003</v>
      </c>
      <c r="E140" s="6">
        <f>D140/D137*100</f>
        <v>2.9645311074403673</v>
      </c>
      <c r="F140" s="6">
        <f t="shared" si="20"/>
        <v>83.86981920003863</v>
      </c>
      <c r="G140" s="6">
        <f t="shared" si="17"/>
        <v>67.73978144526872</v>
      </c>
      <c r="H140" s="6">
        <f t="shared" si="18"/>
        <v>2672.8999999999996</v>
      </c>
      <c r="I140" s="18">
        <f t="shared" si="19"/>
        <v>6618.699999999999</v>
      </c>
      <c r="K140" s="46"/>
      <c r="L140" s="47"/>
    </row>
    <row r="141" spans="1:12" ht="21" customHeight="1">
      <c r="A141" s="23" t="s">
        <v>15</v>
      </c>
      <c r="B141" s="67">
        <f>B11+B22+B100+B60+B36+B90</f>
        <v>6997.599999999999</v>
      </c>
      <c r="C141" s="67">
        <f>C11+C22+C100+C60+C36+C90</f>
        <v>8110.4</v>
      </c>
      <c r="D141" s="67">
        <f>D11+D22+D100+D60+D36+D90</f>
        <v>5984.900000000001</v>
      </c>
      <c r="E141" s="6">
        <f>D141/D137*100</f>
        <v>1.2766261251642228</v>
      </c>
      <c r="F141" s="6">
        <f t="shared" si="20"/>
        <v>85.52789527838117</v>
      </c>
      <c r="G141" s="6">
        <f t="shared" si="17"/>
        <v>73.79290787137504</v>
      </c>
      <c r="H141" s="6">
        <f t="shared" si="18"/>
        <v>1012.6999999999989</v>
      </c>
      <c r="I141" s="18">
        <f t="shared" si="19"/>
        <v>2125.499999999999</v>
      </c>
      <c r="K141" s="46"/>
      <c r="L141" s="103"/>
    </row>
    <row r="142" spans="1:12" ht="18.75">
      <c r="A142" s="23" t="s">
        <v>2</v>
      </c>
      <c r="B142" s="67">
        <f>B8+B19+B45+B51+B118</f>
        <v>6688.6</v>
      </c>
      <c r="C142" s="67">
        <f>C8+C19+C45+C51+C118</f>
        <v>7943.900000000001</v>
      </c>
      <c r="D142" s="67">
        <f>D8+D19+D45+D51+D118</f>
        <v>3627.7999999999993</v>
      </c>
      <c r="E142" s="6">
        <f>D142/D137*100</f>
        <v>0.7738382022875513</v>
      </c>
      <c r="F142" s="6">
        <f t="shared" si="20"/>
        <v>54.23855515354482</v>
      </c>
      <c r="G142" s="6">
        <f t="shared" si="17"/>
        <v>45.66774506224901</v>
      </c>
      <c r="H142" s="6">
        <f t="shared" si="18"/>
        <v>3060.800000000001</v>
      </c>
      <c r="I142" s="18">
        <f t="shared" si="19"/>
        <v>4316.100000000001</v>
      </c>
      <c r="K142" s="46"/>
      <c r="L142" s="47"/>
    </row>
    <row r="143" spans="1:12" ht="19.5" thickBot="1">
      <c r="A143" s="23" t="s">
        <v>35</v>
      </c>
      <c r="B143" s="67">
        <f>B137-B138-B139-B140-B141-B142</f>
        <v>80359.50000000015</v>
      </c>
      <c r="C143" s="67">
        <f>C137-C138-C139-C140-C141-C142</f>
        <v>92638.50000000009</v>
      </c>
      <c r="D143" s="67">
        <f>D137-D138-D139-D140-D141-D142</f>
        <v>57800.21000000017</v>
      </c>
      <c r="E143" s="6">
        <f>D143/D137*100</f>
        <v>12.329238270644217</v>
      </c>
      <c r="F143" s="6">
        <f t="shared" si="20"/>
        <v>71.92704036237167</v>
      </c>
      <c r="G143" s="43">
        <f t="shared" si="17"/>
        <v>62.39329220572453</v>
      </c>
      <c r="H143" s="6">
        <f t="shared" si="18"/>
        <v>22559.28999999998</v>
      </c>
      <c r="I143" s="6">
        <f t="shared" si="19"/>
        <v>34838.28999999992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63538</v>
      </c>
      <c r="C145" s="74">
        <f>77971.6-8326.2</f>
        <v>69645.40000000001</v>
      </c>
      <c r="D145" s="74">
        <f>1285.7+343.1+251.2+535+4+1250.9+3+47.1-1+182.9+10.6+2492.6+31+22.3+70.1+288.5+61.4+28+67+8.2+59.1+10.4+80.6+354.8+3.8+68.4+2.6+5.3+24.2+4809.3+1220.5+217.5+98.1+52.8+976.5</f>
        <v>14965.500000000002</v>
      </c>
      <c r="E145" s="15"/>
      <c r="F145" s="6">
        <f t="shared" si="20"/>
        <v>23.553621454877398</v>
      </c>
      <c r="G145" s="6">
        <f aca="true" t="shared" si="21" ref="G145:G154">D145/C145*100</f>
        <v>21.488138484379444</v>
      </c>
      <c r="H145" s="6">
        <f>B145-D145</f>
        <v>48572.5</v>
      </c>
      <c r="I145" s="6">
        <f aca="true" t="shared" si="22" ref="I145:I154">C145-D145</f>
        <v>54679.90000000001</v>
      </c>
      <c r="J145" s="105"/>
      <c r="K145" s="46"/>
      <c r="L145" s="46"/>
    </row>
    <row r="146" spans="1:12" ht="18.75">
      <c r="A146" s="23" t="s">
        <v>22</v>
      </c>
      <c r="B146" s="89">
        <v>27028.7</v>
      </c>
      <c r="C146" s="67">
        <f>23644.2-130+4631.1</f>
        <v>28145.300000000003</v>
      </c>
      <c r="D146" s="67">
        <f>2921.3+155.4+1707.9+56.8+14.6+990.8-990.8+14.7+990.8+400.1+597.2+8.8-9.6+18.2+0.4+53.9+92.1+242.6+11.1+67.1+121.7-0.1</f>
        <v>7465.000000000001</v>
      </c>
      <c r="E146" s="6"/>
      <c r="F146" s="6">
        <f t="shared" si="20"/>
        <v>27.618790396874438</v>
      </c>
      <c r="G146" s="6">
        <f t="shared" si="21"/>
        <v>26.52307845359616</v>
      </c>
      <c r="H146" s="6">
        <f aca="true" t="shared" si="23" ref="H146:H153">B146-D146</f>
        <v>19563.7</v>
      </c>
      <c r="I146" s="6">
        <f t="shared" si="22"/>
        <v>20680.300000000003</v>
      </c>
      <c r="K146" s="46"/>
      <c r="L146" s="46"/>
    </row>
    <row r="147" spans="1:12" ht="18.75">
      <c r="A147" s="23" t="s">
        <v>63</v>
      </c>
      <c r="B147" s="89">
        <v>87818.4</v>
      </c>
      <c r="C147" s="67">
        <f>109130.7-6200+130-3633.3+1677.5</f>
        <v>101104.9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</f>
        <v>20027.3</v>
      </c>
      <c r="E147" s="6"/>
      <c r="F147" s="6">
        <f t="shared" si="20"/>
        <v>22.805357419401854</v>
      </c>
      <c r="G147" s="6">
        <f t="shared" si="21"/>
        <v>19.80843658418138</v>
      </c>
      <c r="H147" s="6">
        <f t="shared" si="23"/>
        <v>67791.09999999999</v>
      </c>
      <c r="I147" s="6">
        <f t="shared" si="22"/>
        <v>81077.59999999999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17475.5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</f>
        <v>4296.300000000001</v>
      </c>
      <c r="E149" s="19"/>
      <c r="F149" s="6">
        <f t="shared" si="20"/>
        <v>24.58470430030615</v>
      </c>
      <c r="G149" s="6">
        <f t="shared" si="21"/>
        <v>22.069202872494532</v>
      </c>
      <c r="H149" s="6">
        <f t="shared" si="23"/>
        <v>13179.199999999999</v>
      </c>
      <c r="I149" s="6">
        <f t="shared" si="22"/>
        <v>15171.1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989.1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87.41279951471034</v>
      </c>
      <c r="G151" s="6">
        <f t="shared" si="21"/>
        <v>75.10423905489924</v>
      </c>
      <c r="H151" s="6">
        <f t="shared" si="23"/>
        <v>124.5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8156.2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</f>
        <v>1854.8</v>
      </c>
      <c r="E153" s="24"/>
      <c r="F153" s="6">
        <f>D153/B153*100</f>
        <v>22.740982320198132</v>
      </c>
      <c r="G153" s="6">
        <f t="shared" si="21"/>
        <v>20.91966209128949</v>
      </c>
      <c r="H153" s="6">
        <f t="shared" si="23"/>
        <v>6301.4</v>
      </c>
      <c r="I153" s="6">
        <f t="shared" si="22"/>
        <v>7011.499999999999</v>
      </c>
    </row>
    <row r="154" spans="1:9" ht="19.5" thickBot="1">
      <c r="A154" s="14" t="s">
        <v>20</v>
      </c>
      <c r="B154" s="91">
        <f>B137+B145+B149+B150+B146+B153+B152+B147+B151+B148</f>
        <v>753486.2</v>
      </c>
      <c r="C154" s="91">
        <f>C137+C145+C149+C150+C146+C153+C152+C147+C151+C148</f>
        <v>861086.0000000001</v>
      </c>
      <c r="D154" s="91">
        <f>D137+D145+D149+D150+D146+D153+D152+D147+D151+D148</f>
        <v>526277.81</v>
      </c>
      <c r="E154" s="25"/>
      <c r="F154" s="3">
        <f>D154/B154*100</f>
        <v>69.84571316634599</v>
      </c>
      <c r="G154" s="3">
        <f t="shared" si="21"/>
        <v>61.11791505145827</v>
      </c>
      <c r="H154" s="3">
        <f>B154-D154</f>
        <v>227208.3899999999</v>
      </c>
      <c r="I154" s="3">
        <f t="shared" si="22"/>
        <v>334808.19000000006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468806.0100000001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5" sqref="R2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468806.0100000001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2014-09-30T09:09:30Z</cp:lastPrinted>
  <dcterms:created xsi:type="dcterms:W3CDTF">2000-06-20T04:48:00Z</dcterms:created>
  <dcterms:modified xsi:type="dcterms:W3CDTF">2014-10-06T05:06:46Z</dcterms:modified>
  <cp:category/>
  <cp:version/>
  <cp:contentType/>
  <cp:contentStatus/>
</cp:coreProperties>
</file>